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7935"/>
  </bookViews>
  <sheets>
    <sheet name="Лист1" sheetId="1" r:id="rId1"/>
    <sheet name="Лист2" sheetId="2" r:id="rId2"/>
    <sheet name="Лист3" sheetId="3" r:id="rId3"/>
    <sheet name="Лист4" sheetId="4" r:id="rId4"/>
  </sheets>
  <calcPr calcId="144525"/>
</workbook>
</file>

<file path=xl/calcChain.xml><?xml version="1.0" encoding="utf-8"?>
<calcChain xmlns="http://schemas.openxmlformats.org/spreadsheetml/2006/main">
  <c r="F24" i="1" l="1"/>
  <c r="D57" i="1" l="1"/>
  <c r="E57" i="1" s="1"/>
  <c r="F44" i="1" l="1"/>
  <c r="F52" i="1"/>
  <c r="F35" i="1"/>
  <c r="D14" i="1" l="1"/>
  <c r="F10" i="1"/>
  <c r="F9" i="1"/>
  <c r="F13" i="1" s="1"/>
  <c r="D9" i="1"/>
  <c r="D10" i="1"/>
  <c r="D56" i="1" l="1"/>
  <c r="E56" i="1" s="1"/>
  <c r="H55" i="1"/>
  <c r="D55" i="1"/>
  <c r="E55" i="1" s="1"/>
  <c r="H54" i="1"/>
  <c r="D54" i="1"/>
  <c r="E54" i="1" s="1"/>
  <c r="D52" i="1"/>
  <c r="D50" i="1"/>
  <c r="E50" i="1" s="1"/>
  <c r="D49" i="1"/>
  <c r="E49" i="1" s="1"/>
  <c r="D48" i="1"/>
  <c r="E48" i="1" s="1"/>
  <c r="D47" i="1"/>
  <c r="E47" i="1" s="1"/>
  <c r="D46" i="1"/>
  <c r="E46" i="1" s="1"/>
  <c r="D44" i="1"/>
  <c r="D42" i="1"/>
  <c r="E42" i="1" s="1"/>
  <c r="D41" i="1"/>
  <c r="E41" i="1" s="1"/>
  <c r="D40" i="1"/>
  <c r="E40" i="1" s="1"/>
  <c r="D39" i="1"/>
  <c r="E39" i="1" s="1"/>
  <c r="D38" i="1"/>
  <c r="E38" i="1" s="1"/>
  <c r="H35" i="1"/>
  <c r="D32" i="1"/>
  <c r="E32" i="1" s="1"/>
  <c r="D29" i="1"/>
  <c r="E29" i="1" s="1"/>
  <c r="D28" i="1"/>
  <c r="E28" i="1" s="1"/>
  <c r="D27" i="1"/>
  <c r="E27" i="1" s="1"/>
  <c r="D26" i="1"/>
  <c r="E26" i="1" s="1"/>
  <c r="H24" i="1"/>
  <c r="D24" i="1"/>
  <c r="I21" i="1"/>
  <c r="I24" i="1" s="1"/>
  <c r="D21" i="1"/>
  <c r="E21" i="1" s="1"/>
  <c r="D18" i="1"/>
  <c r="E18" i="1" s="1"/>
  <c r="D17" i="1"/>
  <c r="E17" i="1" s="1"/>
  <c r="H14" i="1"/>
  <c r="E14" i="1"/>
  <c r="H13" i="1"/>
  <c r="D12" i="1"/>
  <c r="E12" i="1" s="1"/>
  <c r="D11" i="1"/>
  <c r="E11" i="1" s="1"/>
  <c r="H10" i="1"/>
  <c r="E10" i="1"/>
  <c r="H9" i="1"/>
  <c r="E9" i="1"/>
  <c r="E13" i="1" l="1"/>
  <c r="E52" i="1"/>
  <c r="E44" i="1"/>
  <c r="E24" i="1"/>
  <c r="E35" i="1"/>
  <c r="F59" i="1"/>
  <c r="E59" i="1" l="1"/>
</calcChain>
</file>

<file path=xl/sharedStrings.xml><?xml version="1.0" encoding="utf-8"?>
<sst xmlns="http://schemas.openxmlformats.org/spreadsheetml/2006/main" count="133" uniqueCount="125">
  <si>
    <t xml:space="preserve"> ТСЖ "Глория Парк"</t>
  </si>
  <si>
    <t>Дома по адресам: Ленсовета 69 к. 1, пр-кт Юрия Гагарина д. 73, д.75, Московское шоссе 12.</t>
  </si>
  <si>
    <t>Количество лицевых счетов</t>
  </si>
  <si>
    <t>Общая площадь помещений для начисления квартплаты</t>
  </si>
  <si>
    <t>кв.м.</t>
  </si>
  <si>
    <t>№ п/п</t>
  </si>
  <si>
    <t>Наименование статей поступления расходов в бюджет</t>
  </si>
  <si>
    <t>Начисления собственникам помещений за месяц руб.</t>
  </si>
  <si>
    <t>Начисления собственникам помещений за год руб.</t>
  </si>
  <si>
    <t>Основание расхода</t>
  </si>
  <si>
    <t>1</t>
  </si>
  <si>
    <t>Содержание жилых домов комплекса</t>
  </si>
  <si>
    <t>1.1</t>
  </si>
  <si>
    <t xml:space="preserve">Уборка лестничных клеток  /кв.м </t>
  </si>
  <si>
    <t>3 уборщицы по штатному расписанию</t>
  </si>
  <si>
    <t>1.2</t>
  </si>
  <si>
    <t xml:space="preserve">Санитарное содержание придомовой территории /кв.м </t>
  </si>
  <si>
    <t>1.3</t>
  </si>
  <si>
    <t>1.4</t>
  </si>
  <si>
    <t>ООО "БТС" Дог.№1720 от 01.04.2017г.</t>
  </si>
  <si>
    <t>ИТОГО</t>
  </si>
  <si>
    <t>1.5</t>
  </si>
  <si>
    <t xml:space="preserve">Содержание общего имущества /кв.м </t>
  </si>
  <si>
    <t>1.6</t>
  </si>
  <si>
    <t>Аварийное обслуживание</t>
  </si>
  <si>
    <t>1.7</t>
  </si>
  <si>
    <t>Эксплуатация домов</t>
  </si>
  <si>
    <t>1.8</t>
  </si>
  <si>
    <t>1.9</t>
  </si>
  <si>
    <t>ОДС (Обслуживание диспетчерских систем)</t>
  </si>
  <si>
    <t>Дог.№314 от 01.05.2016  ООО "Связьсоюз"</t>
  </si>
  <si>
    <t>1.10</t>
  </si>
  <si>
    <t>Аттестация персонала</t>
  </si>
  <si>
    <t>1.11</t>
  </si>
  <si>
    <t>Дог.№309,311,313/ППВС  от 01.04.16г. ООО "Связьсоюз"</t>
  </si>
  <si>
    <t>1.12</t>
  </si>
  <si>
    <t>Расходные материалы, инструмент, спецодежда.</t>
  </si>
  <si>
    <t>2</t>
  </si>
  <si>
    <t>Текущий ремонт общего имущества /кв.м</t>
  </si>
  <si>
    <t>2.1</t>
  </si>
  <si>
    <t>Резевный фонд</t>
  </si>
  <si>
    <t>Средства аккумулируются на отдельном счете в банке</t>
  </si>
  <si>
    <t>3</t>
  </si>
  <si>
    <t>Административно управленческие расходы /кв.м</t>
  </si>
  <si>
    <t>3.1</t>
  </si>
  <si>
    <t>ФОТ и налоги</t>
  </si>
  <si>
    <t>штатное расписание</t>
  </si>
  <si>
    <t>3.2</t>
  </si>
  <si>
    <t>Услуги связи (телефон, почта), банк</t>
  </si>
  <si>
    <t>3.4</t>
  </si>
  <si>
    <t>Програмное обеспечение</t>
  </si>
  <si>
    <t>Сопровождение 1С ИТС, электронная отчетнось. Кварта С, Первый БИТ</t>
  </si>
  <si>
    <t>3.5</t>
  </si>
  <si>
    <t>Канцтовары</t>
  </si>
  <si>
    <t>3.6</t>
  </si>
  <si>
    <t>Затраты на проведение общих собраний (аренда зала, почтовые расходы)</t>
  </si>
  <si>
    <t>4</t>
  </si>
  <si>
    <t>Содержание лифтов</t>
  </si>
  <si>
    <t>4.1</t>
  </si>
  <si>
    <t>Лифт Ленсовета 69/1  /кв.м</t>
  </si>
  <si>
    <t>дог. №15 от 01.09.2014  ООО "СМУ-Сервис" Техническое обслуживание лифтов.    дог. № 990 от 11.04.2016 ЗАО "Инженерный центр КПЛ"- освидетельствование лифтов</t>
  </si>
  <si>
    <t>4.2</t>
  </si>
  <si>
    <t>Лифт Московское ш. 12 /кв.м</t>
  </si>
  <si>
    <t>4.3</t>
  </si>
  <si>
    <t>Лифт Ю. Гагарина 73,75руб./кв. м.</t>
  </si>
  <si>
    <t>4.4</t>
  </si>
  <si>
    <t>Страховка</t>
  </si>
  <si>
    <t>дог. №код902/485111495 от 20.05.2017 СО "РЕССО-Гарантия"</t>
  </si>
  <si>
    <t>4.5</t>
  </si>
  <si>
    <t>Замена оборудования (канаты, шкивы, редукторы, кабины и др.)</t>
  </si>
  <si>
    <t>5</t>
  </si>
  <si>
    <t>Диспетчеризация и услуги дежурных администраторов</t>
  </si>
  <si>
    <t>5.1</t>
  </si>
  <si>
    <t>Диспетчеризация комплекса /кв. м.</t>
  </si>
  <si>
    <t>Штатное расписание</t>
  </si>
  <si>
    <t>5.2</t>
  </si>
  <si>
    <t>Дежурный администратор Ю.Гагарина д. 73, д. 75  /квартира</t>
  </si>
  <si>
    <t>5.3</t>
  </si>
  <si>
    <t>Дежурный администратор                   Моск. Ш., д. 12/квартира</t>
  </si>
  <si>
    <t>5.4</t>
  </si>
  <si>
    <t>Дежурный администратор  Ленсовета д. 69/1 /квартира</t>
  </si>
  <si>
    <t>6</t>
  </si>
  <si>
    <t>Обслуживание общедомовых приборов учета  руб./кв. м.</t>
  </si>
  <si>
    <t>7</t>
  </si>
  <si>
    <t>Обслуживание ПЗУ руб./кв. м.</t>
  </si>
  <si>
    <t>8</t>
  </si>
  <si>
    <t>Обслуживание  АППЗ руб./кв. м.</t>
  </si>
  <si>
    <t>Тарифы на коммунальные ресурсы (воду, тепло, электроэнергию, канализирование) устанавливаются  Комитетом по тарифам Санкт-Петербурга и применяются в соответствии с действующим законодательством (Постановление правительства № 354 от 06.05.2011г.)</t>
  </si>
  <si>
    <t>Смета доходов и расходов на 2019-2020 годы.</t>
  </si>
  <si>
    <t>25422,3 кв.м(уборка лестн.клеток)</t>
  </si>
  <si>
    <t>2 дворника по штатному расписанию</t>
  </si>
  <si>
    <t>Расход в год руб.</t>
  </si>
  <si>
    <t>1 подсобный рабочий по штатному расписанию</t>
  </si>
  <si>
    <t>ООО "Приоритет", дог.№Г/П-1 от 01.06.2017г</t>
  </si>
  <si>
    <t xml:space="preserve"> ТСЖ "Глория Парк" по штатному расписанию</t>
  </si>
  <si>
    <t>Расчетная по 12-ти месяцам 2018г.</t>
  </si>
  <si>
    <t>ООО "Комус "</t>
  </si>
  <si>
    <t>ООО "Кубит"</t>
  </si>
  <si>
    <t xml:space="preserve">Расчетная за 2018г </t>
  </si>
  <si>
    <t>НОУ ДПО УМИТС Аттестация персонала за 2018 год</t>
  </si>
  <si>
    <t>Утверждено решением общего собрания членов ТСЖ "Глория Парк" Протокол  № __ от ___2019г.</t>
  </si>
  <si>
    <t>Обучение персонала</t>
  </si>
  <si>
    <t>ООО Эталон"</t>
  </si>
  <si>
    <t>СКПТ ООО "Связьмонтаж" ПАО "Ростелеком"</t>
  </si>
  <si>
    <t>15696,9 кв.м. (АППЗ)</t>
  </si>
  <si>
    <t>Всего по смете:</t>
  </si>
  <si>
    <t>Городской тариф. План текущего ремонта (согласно договорам и сметам)</t>
  </si>
  <si>
    <t>Городской тариф. ООО "Сайлекс" дог.№69-Т от 01.01.2016</t>
  </si>
  <si>
    <t>Городской тариф. Дог.№ 310,312,308/АППЗ от 01.05.2016, ООО "Связьсоюз"</t>
  </si>
  <si>
    <t>Вывоз мусора спец.организацией</t>
  </si>
  <si>
    <t>1.13</t>
  </si>
  <si>
    <t>Промывка пожарного водопровода</t>
  </si>
  <si>
    <t>Затраты на онлайн-кассу</t>
  </si>
  <si>
    <t>ООО "Электронные системы",ООО "АйТи сервис" счет 017/0000207236, 017/0000207238</t>
  </si>
  <si>
    <t>1.14</t>
  </si>
  <si>
    <t>Реконструкция пожарной сигнализации д.69 корп.1 по предписанию инспектора МЧС №2-18-821/1/1</t>
  </si>
  <si>
    <t xml:space="preserve">Смета ООО "Связьсоюз" </t>
  </si>
  <si>
    <t>СКПТ (система коллективного приема телевидения)</t>
  </si>
  <si>
    <t>Вывоз контейнеров, обслуживание мусороприемных камер и контейнеров /кв.м.</t>
  </si>
  <si>
    <t>Тариф  руб. м2</t>
  </si>
  <si>
    <t>МТС, Ростелеком, ПАО АКБ "Авангард"</t>
  </si>
  <si>
    <t>Обслуживание компьютерной техники</t>
  </si>
  <si>
    <t>(нежилые - 999,70 кв.м.)</t>
  </si>
  <si>
    <t>(жилые - 25416,30 кв.м)</t>
  </si>
  <si>
    <r>
      <t xml:space="preserve"> </t>
    </r>
    <r>
      <rPr>
        <b/>
        <sz val="14"/>
        <color theme="1"/>
        <rFont val="Calibri"/>
        <family val="2"/>
        <charset val="204"/>
        <scheme val="minor"/>
      </rPr>
      <t xml:space="preserve"> ПРОЕКТ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</si>
</sst>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&quot;р.&quot;_-;\-* #,##0&quot;р.&quot;_-;_-* &quot;-&quot;&quot;р.&quot;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??_р_._-;_-@_-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b/>
      <i/>
      <sz val="1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i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49" fontId="3" fillId="0" borderId="0" xfId="0" applyNumberFormat="1" applyFont="1" applyFill="1"/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 wrapText="1"/>
    </xf>
    <xf numFmtId="164" fontId="0" fillId="0" borderId="0" xfId="0" applyNumberFormat="1" applyFill="1"/>
    <xf numFmtId="0" fontId="0" fillId="0" borderId="0" xfId="0" applyFill="1"/>
    <xf numFmtId="43" fontId="0" fillId="0" borderId="0" xfId="0" applyNumberFormat="1" applyFill="1"/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43" fontId="2" fillId="0" borderId="0" xfId="0" applyNumberFormat="1" applyFont="1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9" fillId="0" borderId="1" xfId="0" applyNumberFormat="1" applyFont="1" applyFill="1" applyBorder="1" applyAlignment="1">
      <alignment horizontal="center" vertical="justify" wrapText="1"/>
    </xf>
    <xf numFmtId="0" fontId="10" fillId="0" borderId="1" xfId="0" applyFont="1" applyFill="1" applyBorder="1" applyAlignment="1">
      <alignment horizontal="center" vertical="center" wrapText="1"/>
    </xf>
    <xf numFmtId="43" fontId="10" fillId="0" borderId="1" xfId="0" applyNumberFormat="1" applyFont="1" applyFill="1" applyBorder="1" applyAlignment="1">
      <alignment horizontal="center" vertical="justify" wrapText="1"/>
    </xf>
    <xf numFmtId="0" fontId="10" fillId="0" borderId="1" xfId="0" applyFont="1" applyFill="1" applyBorder="1" applyAlignment="1">
      <alignment horizontal="center" vertical="justify" wrapText="1"/>
    </xf>
    <xf numFmtId="49" fontId="11" fillId="0" borderId="2" xfId="0" applyNumberFormat="1" applyFont="1" applyFill="1" applyBorder="1" applyAlignment="1">
      <alignment horizontal="justify" vertical="justify" wrapText="1"/>
    </xf>
    <xf numFmtId="0" fontId="12" fillId="0" borderId="0" xfId="0" applyFont="1" applyFill="1" applyBorder="1" applyAlignment="1">
      <alignment horizontal="center" vertical="center" wrapText="1"/>
    </xf>
    <xf numFmtId="43" fontId="10" fillId="0" borderId="0" xfId="0" applyNumberFormat="1" applyFont="1" applyFill="1" applyBorder="1" applyAlignment="1">
      <alignment horizontal="justify" vertical="justify" wrapText="1"/>
    </xf>
    <xf numFmtId="0" fontId="10" fillId="0" borderId="0" xfId="0" applyFont="1" applyFill="1" applyBorder="1" applyAlignment="1">
      <alignment horizontal="justify" vertical="justify" wrapText="1"/>
    </xf>
    <xf numFmtId="0" fontId="10" fillId="0" borderId="3" xfId="0" applyFont="1" applyFill="1" applyBorder="1" applyAlignment="1">
      <alignment horizontal="center" vertical="justify" wrapText="1"/>
    </xf>
    <xf numFmtId="49" fontId="3" fillId="2" borderId="4" xfId="0" applyNumberFormat="1" applyFont="1" applyFill="1" applyBorder="1"/>
    <xf numFmtId="0" fontId="0" fillId="2" borderId="5" xfId="0" applyFill="1" applyBorder="1" applyAlignment="1">
      <alignment horizontal="center" vertical="center" wrapText="1"/>
    </xf>
    <xf numFmtId="43" fontId="0" fillId="2" borderId="5" xfId="0" applyNumberFormat="1" applyFill="1" applyBorder="1"/>
    <xf numFmtId="43" fontId="13" fillId="2" borderId="5" xfId="0" applyNumberFormat="1" applyFont="1" applyFill="1" applyBorder="1"/>
    <xf numFmtId="0" fontId="0" fillId="0" borderId="6" xfId="0" applyFill="1" applyBorder="1" applyAlignment="1">
      <alignment horizontal="center"/>
    </xf>
    <xf numFmtId="164" fontId="14" fillId="0" borderId="0" xfId="0" applyNumberFormat="1" applyFont="1" applyFill="1"/>
    <xf numFmtId="49" fontId="3" fillId="0" borderId="4" xfId="0" applyNumberFormat="1" applyFont="1" applyFill="1" applyBorder="1"/>
    <xf numFmtId="0" fontId="0" fillId="0" borderId="5" xfId="0" applyFill="1" applyBorder="1" applyAlignment="1">
      <alignment horizontal="center" vertical="center" wrapText="1"/>
    </xf>
    <xf numFmtId="43" fontId="0" fillId="0" borderId="5" xfId="0" applyNumberFormat="1" applyFill="1" applyBorder="1"/>
    <xf numFmtId="0" fontId="0" fillId="0" borderId="6" xfId="0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43" fontId="16" fillId="2" borderId="5" xfId="0" applyNumberFormat="1" applyFont="1" applyFill="1" applyBorder="1"/>
    <xf numFmtId="43" fontId="17" fillId="2" borderId="5" xfId="0" applyNumberFormat="1" applyFont="1" applyFill="1" applyBorder="1"/>
    <xf numFmtId="0" fontId="16" fillId="0" borderId="6" xfId="0" applyFont="1" applyFill="1" applyBorder="1" applyAlignment="1">
      <alignment horizontal="center" vertical="center" wrapText="1"/>
    </xf>
    <xf numFmtId="164" fontId="18" fillId="0" borderId="0" xfId="0" applyNumberFormat="1" applyFont="1" applyFill="1"/>
    <xf numFmtId="43" fontId="16" fillId="0" borderId="0" xfId="0" applyNumberFormat="1" applyFont="1" applyFill="1"/>
    <xf numFmtId="0" fontId="16" fillId="0" borderId="0" xfId="0" applyFont="1" applyFill="1"/>
    <xf numFmtId="0" fontId="1" fillId="0" borderId="6" xfId="0" applyFont="1" applyFill="1" applyBorder="1" applyAlignment="1">
      <alignment horizontal="center" vertical="center" wrapText="1"/>
    </xf>
    <xf numFmtId="43" fontId="19" fillId="0" borderId="6" xfId="0" applyNumberFormat="1" applyFont="1" applyFill="1" applyBorder="1" applyAlignment="1">
      <alignment horizontal="center" vertical="center" wrapText="1"/>
    </xf>
    <xf numFmtId="49" fontId="20" fillId="2" borderId="4" xfId="0" applyNumberFormat="1" applyFont="1" applyFill="1" applyBorder="1"/>
    <xf numFmtId="0" fontId="20" fillId="2" borderId="5" xfId="0" applyFont="1" applyFill="1" applyBorder="1" applyAlignment="1">
      <alignment horizontal="center" vertical="center" wrapText="1"/>
    </xf>
    <xf numFmtId="43" fontId="14" fillId="2" borderId="5" xfId="0" applyNumberFormat="1" applyFont="1" applyFill="1" applyBorder="1"/>
    <xf numFmtId="43" fontId="21" fillId="2" borderId="5" xfId="0" applyNumberFormat="1" applyFont="1" applyFill="1" applyBorder="1"/>
    <xf numFmtId="43" fontId="14" fillId="0" borderId="6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43" fontId="14" fillId="0" borderId="0" xfId="0" applyNumberFormat="1" applyFont="1" applyFill="1"/>
    <xf numFmtId="49" fontId="20" fillId="0" borderId="4" xfId="0" applyNumberFormat="1" applyFont="1" applyFill="1" applyBorder="1"/>
    <xf numFmtId="0" fontId="20" fillId="0" borderId="5" xfId="0" applyFont="1" applyFill="1" applyBorder="1" applyAlignment="1">
      <alignment horizontal="center" vertical="center" wrapText="1"/>
    </xf>
    <xf numFmtId="43" fontId="14" fillId="0" borderId="5" xfId="0" applyNumberFormat="1" applyFont="1" applyFill="1" applyBorder="1"/>
    <xf numFmtId="43" fontId="22" fillId="0" borderId="5" xfId="0" applyNumberFormat="1" applyFont="1" applyFill="1" applyBorder="1"/>
    <xf numFmtId="49" fontId="23" fillId="2" borderId="4" xfId="0" applyNumberFormat="1" applyFont="1" applyFill="1" applyBorder="1"/>
    <xf numFmtId="0" fontId="24" fillId="2" borderId="5" xfId="0" applyFont="1" applyFill="1" applyBorder="1" applyAlignment="1">
      <alignment horizontal="center" vertical="center" wrapText="1"/>
    </xf>
    <xf numFmtId="43" fontId="24" fillId="2" borderId="5" xfId="0" applyNumberFormat="1" applyFont="1" applyFill="1" applyBorder="1"/>
    <xf numFmtId="164" fontId="24" fillId="0" borderId="0" xfId="0" applyNumberFormat="1" applyFont="1" applyFill="1"/>
    <xf numFmtId="0" fontId="24" fillId="0" borderId="0" xfId="0" applyFont="1" applyFill="1"/>
    <xf numFmtId="49" fontId="21" fillId="0" borderId="4" xfId="0" applyNumberFormat="1" applyFont="1" applyFill="1" applyBorder="1"/>
    <xf numFmtId="0" fontId="21" fillId="0" borderId="5" xfId="0" applyFont="1" applyFill="1" applyBorder="1" applyAlignment="1">
      <alignment horizontal="center" vertical="center" wrapText="1"/>
    </xf>
    <xf numFmtId="43" fontId="25" fillId="0" borderId="5" xfId="0" applyNumberFormat="1" applyFont="1" applyFill="1" applyBorder="1"/>
    <xf numFmtId="43" fontId="25" fillId="0" borderId="6" xfId="0" applyNumberFormat="1" applyFont="1" applyFill="1" applyBorder="1" applyAlignment="1">
      <alignment horizontal="center" vertical="center" wrapText="1"/>
    </xf>
    <xf numFmtId="49" fontId="23" fillId="0" borderId="4" xfId="0" applyNumberFormat="1" applyFont="1" applyFill="1" applyBorder="1"/>
    <xf numFmtId="0" fontId="24" fillId="0" borderId="5" xfId="0" applyFont="1" applyFill="1" applyBorder="1" applyAlignment="1">
      <alignment horizontal="center" vertical="center" wrapText="1"/>
    </xf>
    <xf numFmtId="43" fontId="24" fillId="0" borderId="5" xfId="0" applyNumberFormat="1" applyFont="1" applyFill="1" applyBorder="1"/>
    <xf numFmtId="43" fontId="13" fillId="0" borderId="5" xfId="0" applyNumberFormat="1" applyFont="1" applyFill="1" applyBorder="1"/>
    <xf numFmtId="0" fontId="24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43" fontId="22" fillId="2" borderId="5" xfId="0" applyNumberFormat="1" applyFont="1" applyFill="1" applyBorder="1"/>
    <xf numFmtId="0" fontId="22" fillId="0" borderId="6" xfId="0" applyFont="1" applyFill="1" applyBorder="1" applyAlignment="1">
      <alignment horizontal="center" vertical="center" wrapText="1"/>
    </xf>
    <xf numFmtId="0" fontId="22" fillId="0" borderId="0" xfId="0" applyFont="1" applyFill="1"/>
    <xf numFmtId="0" fontId="22" fillId="0" borderId="8" xfId="0" applyFont="1" applyFill="1" applyBorder="1" applyAlignment="1">
      <alignment horizontal="center" vertical="center" wrapText="1"/>
    </xf>
    <xf numFmtId="164" fontId="22" fillId="0" borderId="0" xfId="0" applyNumberFormat="1" applyFont="1" applyFill="1"/>
    <xf numFmtId="0" fontId="13" fillId="0" borderId="8" xfId="0" applyFont="1" applyFill="1" applyBorder="1" applyAlignment="1">
      <alignment horizontal="center" vertical="center" wrapText="1"/>
    </xf>
    <xf numFmtId="164" fontId="13" fillId="0" borderId="0" xfId="0" applyNumberFormat="1" applyFont="1" applyFill="1"/>
    <xf numFmtId="0" fontId="13" fillId="0" borderId="0" xfId="0" applyFont="1" applyFill="1"/>
    <xf numFmtId="0" fontId="14" fillId="0" borderId="6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42" fontId="26" fillId="0" borderId="0" xfId="0" applyNumberFormat="1" applyFont="1" applyFill="1"/>
    <xf numFmtId="44" fontId="27" fillId="0" borderId="0" xfId="0" applyNumberFormat="1" applyFont="1" applyFill="1" applyAlignment="1">
      <alignment horizontal="center"/>
    </xf>
    <xf numFmtId="44" fontId="0" fillId="0" borderId="0" xfId="0" applyNumberFormat="1" applyFill="1"/>
    <xf numFmtId="42" fontId="0" fillId="0" borderId="0" xfId="0" applyNumberFormat="1" applyFill="1"/>
    <xf numFmtId="0" fontId="0" fillId="0" borderId="6" xfId="0" applyFill="1" applyBorder="1" applyAlignment="1">
      <alignment horizontal="center" wrapText="1"/>
    </xf>
    <xf numFmtId="43" fontId="0" fillId="0" borderId="0" xfId="0" applyNumberFormat="1" applyFill="1" applyAlignment="1">
      <alignment horizontal="left"/>
    </xf>
    <xf numFmtId="0" fontId="0" fillId="0" borderId="6" xfId="0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justify" wrapText="1"/>
    </xf>
    <xf numFmtId="0" fontId="30" fillId="0" borderId="0" xfId="0" applyFont="1" applyFill="1" applyAlignment="1">
      <alignment horizontal="left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/>
    <xf numFmtId="0" fontId="7" fillId="0" borderId="0" xfId="0" applyFont="1" applyFill="1" applyAlignment="1">
      <alignment horizontal="left" vertical="top" wrapText="1"/>
    </xf>
    <xf numFmtId="0" fontId="29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workbookViewId="0">
      <selection activeCell="D4" sqref="D4"/>
    </sheetView>
  </sheetViews>
  <sheetFormatPr defaultRowHeight="15.75" x14ac:dyDescent="0.25"/>
  <cols>
    <col min="1" max="1" width="4.5703125" style="1" customWidth="1"/>
    <col min="2" max="2" width="40" style="11" customWidth="1"/>
    <col min="3" max="3" width="11.140625" style="7" bestFit="1" customWidth="1"/>
    <col min="4" max="4" width="23" style="6" customWidth="1"/>
    <col min="5" max="5" width="26.28515625" style="6" customWidth="1"/>
    <col min="6" max="6" width="32.140625" style="7" customWidth="1"/>
    <col min="7" max="7" width="36.5703125" style="12" customWidth="1"/>
    <col min="8" max="8" width="13.42578125" style="5" hidden="1" customWidth="1"/>
    <col min="9" max="9" width="15" style="6" hidden="1" customWidth="1"/>
    <col min="10" max="10" width="9.140625" style="6" hidden="1" customWidth="1"/>
    <col min="11" max="11" width="14.42578125" style="6" hidden="1" customWidth="1"/>
    <col min="12" max="12" width="14.42578125" style="6" customWidth="1"/>
    <col min="13" max="13" width="9.140625" style="6" customWidth="1"/>
    <col min="14" max="16384" width="9.140625" style="6"/>
  </cols>
  <sheetData>
    <row r="1" spans="1:9" ht="47.25" x14ac:dyDescent="0.25">
      <c r="B1" s="90" t="s">
        <v>0</v>
      </c>
      <c r="C1" s="90"/>
      <c r="D1" s="90"/>
      <c r="E1" s="3"/>
      <c r="F1" s="89" t="s">
        <v>124</v>
      </c>
      <c r="G1" s="4" t="s">
        <v>100</v>
      </c>
    </row>
    <row r="2" spans="1:9" ht="18.75" customHeight="1" x14ac:dyDescent="0.25">
      <c r="B2" s="96" t="s">
        <v>1</v>
      </c>
      <c r="C2" s="96"/>
      <c r="D2" s="96"/>
      <c r="E2" s="96"/>
      <c r="F2" s="96"/>
      <c r="G2" s="4"/>
    </row>
    <row r="3" spans="1:9" ht="15.75" customHeight="1" x14ac:dyDescent="0.25">
      <c r="B3" s="90" t="s">
        <v>88</v>
      </c>
      <c r="C3" s="90"/>
      <c r="D3" s="90"/>
      <c r="E3" s="90"/>
      <c r="F3" s="90"/>
      <c r="G3" s="4"/>
    </row>
    <row r="4" spans="1:9" ht="18.75" x14ac:dyDescent="0.25">
      <c r="B4" s="2"/>
      <c r="G4" s="8"/>
    </row>
    <row r="5" spans="1:9" x14ac:dyDescent="0.25">
      <c r="B5" s="9" t="s">
        <v>2</v>
      </c>
      <c r="C5" s="10">
        <v>398</v>
      </c>
      <c r="D5" s="6" t="s">
        <v>123</v>
      </c>
      <c r="G5" s="84" t="s">
        <v>104</v>
      </c>
    </row>
    <row r="6" spans="1:9" ht="30.75" thickBot="1" x14ac:dyDescent="0.3">
      <c r="B6" s="11" t="s">
        <v>3</v>
      </c>
      <c r="D6" s="88" t="s">
        <v>122</v>
      </c>
      <c r="E6" s="10">
        <v>26416.3</v>
      </c>
      <c r="F6" s="10" t="s">
        <v>4</v>
      </c>
      <c r="G6" s="87" t="s">
        <v>89</v>
      </c>
    </row>
    <row r="7" spans="1:9" ht="51.75" thickBot="1" x14ac:dyDescent="0.3">
      <c r="A7" s="13" t="s">
        <v>5</v>
      </c>
      <c r="B7" s="14" t="s">
        <v>6</v>
      </c>
      <c r="C7" s="15" t="s">
        <v>119</v>
      </c>
      <c r="D7" s="16" t="s">
        <v>7</v>
      </c>
      <c r="E7" s="16" t="s">
        <v>8</v>
      </c>
      <c r="F7" s="15" t="s">
        <v>91</v>
      </c>
      <c r="G7" s="16" t="s">
        <v>9</v>
      </c>
    </row>
    <row r="8" spans="1:9" x14ac:dyDescent="0.25">
      <c r="A8" s="17" t="s">
        <v>10</v>
      </c>
      <c r="B8" s="18" t="s">
        <v>11</v>
      </c>
      <c r="C8" s="19"/>
      <c r="D8" s="20"/>
      <c r="E8" s="20"/>
      <c r="F8" s="19"/>
      <c r="G8" s="21"/>
    </row>
    <row r="9" spans="1:9" x14ac:dyDescent="0.25">
      <c r="A9" s="22" t="s">
        <v>12</v>
      </c>
      <c r="B9" s="23" t="s">
        <v>13</v>
      </c>
      <c r="C9" s="24">
        <v>3.16</v>
      </c>
      <c r="D9" s="24">
        <f>SUM(C9*25422.3)</f>
        <v>80334.468000000008</v>
      </c>
      <c r="E9" s="25">
        <f t="shared" ref="E9:E57" si="0">SUM(D9*12)</f>
        <v>964013.61600000015</v>
      </c>
      <c r="F9" s="25">
        <f>SUM(80400*12)</f>
        <v>964800</v>
      </c>
      <c r="G9" s="26" t="s">
        <v>14</v>
      </c>
      <c r="H9" s="27">
        <f>SUM(F9/$E$6)/12</f>
        <v>3.0435753682385496</v>
      </c>
    </row>
    <row r="10" spans="1:9" ht="30" x14ac:dyDescent="0.25">
      <c r="A10" s="22" t="s">
        <v>15</v>
      </c>
      <c r="B10" s="23" t="s">
        <v>16</v>
      </c>
      <c r="C10" s="24">
        <v>1.95</v>
      </c>
      <c r="D10" s="24">
        <f>SUM(C10*26416.3)</f>
        <v>51511.784999999996</v>
      </c>
      <c r="E10" s="25">
        <f t="shared" si="0"/>
        <v>618141.41999999993</v>
      </c>
      <c r="F10" s="25">
        <f>SUM(51625*12)</f>
        <v>619500</v>
      </c>
      <c r="G10" s="26" t="s">
        <v>90</v>
      </c>
      <c r="H10" s="27">
        <f>SUM(F10/$E$6)/12</f>
        <v>1.9542858008123771</v>
      </c>
    </row>
    <row r="11" spans="1:9" ht="45" x14ac:dyDescent="0.25">
      <c r="A11" s="28" t="s">
        <v>17</v>
      </c>
      <c r="B11" s="29" t="s">
        <v>118</v>
      </c>
      <c r="C11" s="30">
        <v>4.29</v>
      </c>
      <c r="D11" s="30">
        <f>SUM(C11*E$6)</f>
        <v>113325.927</v>
      </c>
      <c r="E11" s="30">
        <f t="shared" si="0"/>
        <v>1359911.1239999998</v>
      </c>
      <c r="F11" s="30">
        <v>486623</v>
      </c>
      <c r="G11" s="83" t="s">
        <v>92</v>
      </c>
    </row>
    <row r="12" spans="1:9" x14ac:dyDescent="0.25">
      <c r="A12" s="28" t="s">
        <v>18</v>
      </c>
      <c r="B12" s="29" t="s">
        <v>109</v>
      </c>
      <c r="C12" s="30"/>
      <c r="D12" s="30">
        <f t="shared" ref="D12" si="1">SUM(C12*E$6)</f>
        <v>0</v>
      </c>
      <c r="E12" s="30">
        <f t="shared" si="0"/>
        <v>0</v>
      </c>
      <c r="F12" s="30">
        <v>873300</v>
      </c>
      <c r="G12" s="31" t="s">
        <v>19</v>
      </c>
      <c r="I12" s="7"/>
    </row>
    <row r="13" spans="1:9" s="38" customFormat="1" x14ac:dyDescent="0.25">
      <c r="A13" s="28"/>
      <c r="B13" s="32" t="s">
        <v>20</v>
      </c>
      <c r="C13" s="33"/>
      <c r="D13" s="33"/>
      <c r="E13" s="34">
        <f>SUM(E9:E12)</f>
        <v>2942066.16</v>
      </c>
      <c r="F13" s="34">
        <f>SUM(F9:F12)</f>
        <v>2944223</v>
      </c>
      <c r="G13" s="35"/>
      <c r="H13" s="36">
        <f>SUM(F13/$E$6)/12</f>
        <v>9.2878986332933327</v>
      </c>
      <c r="I13" s="37"/>
    </row>
    <row r="14" spans="1:9" x14ac:dyDescent="0.25">
      <c r="A14" s="28" t="s">
        <v>21</v>
      </c>
      <c r="B14" s="29" t="s">
        <v>22</v>
      </c>
      <c r="C14" s="30">
        <v>10.41</v>
      </c>
      <c r="D14" s="30">
        <f>SUM(C14*E$6)</f>
        <v>274993.68300000002</v>
      </c>
      <c r="E14" s="30">
        <f t="shared" ref="E14" si="2">SUM(D14*12)</f>
        <v>3299924.1960000005</v>
      </c>
      <c r="F14" s="30"/>
      <c r="G14" s="26"/>
      <c r="H14" s="5">
        <f>SUM(C14:C17)</f>
        <v>10.41</v>
      </c>
    </row>
    <row r="15" spans="1:9" ht="30" x14ac:dyDescent="0.25">
      <c r="A15" s="28" t="s">
        <v>23</v>
      </c>
      <c r="B15" s="29" t="s">
        <v>24</v>
      </c>
      <c r="C15" s="30"/>
      <c r="D15" s="30"/>
      <c r="E15" s="30"/>
      <c r="F15" s="30">
        <v>163128</v>
      </c>
      <c r="G15" s="31" t="s">
        <v>93</v>
      </c>
    </row>
    <row r="16" spans="1:9" ht="30" x14ac:dyDescent="0.25">
      <c r="A16" s="28" t="s">
        <v>25</v>
      </c>
      <c r="B16" s="29" t="s">
        <v>26</v>
      </c>
      <c r="C16" s="30"/>
      <c r="D16" s="30"/>
      <c r="E16" s="30"/>
      <c r="F16" s="30">
        <v>2496585</v>
      </c>
      <c r="G16" s="31" t="s">
        <v>94</v>
      </c>
    </row>
    <row r="17" spans="1:11" ht="30" x14ac:dyDescent="0.25">
      <c r="A17" s="28" t="s">
        <v>27</v>
      </c>
      <c r="B17" s="29" t="s">
        <v>32</v>
      </c>
      <c r="C17" s="30"/>
      <c r="D17" s="30">
        <f t="shared" ref="D17:D32" si="3">SUM(C17*E$6)</f>
        <v>0</v>
      </c>
      <c r="E17" s="30">
        <f t="shared" si="0"/>
        <v>0</v>
      </c>
      <c r="F17" s="30">
        <v>39000</v>
      </c>
      <c r="G17" s="31" t="s">
        <v>99</v>
      </c>
    </row>
    <row r="18" spans="1:11" ht="30" x14ac:dyDescent="0.25">
      <c r="A18" s="28" t="s">
        <v>28</v>
      </c>
      <c r="B18" s="29" t="s">
        <v>29</v>
      </c>
      <c r="C18" s="30"/>
      <c r="D18" s="30">
        <f t="shared" si="3"/>
        <v>0</v>
      </c>
      <c r="E18" s="30">
        <f t="shared" si="0"/>
        <v>0</v>
      </c>
      <c r="F18" s="30">
        <v>139200</v>
      </c>
      <c r="G18" s="31" t="s">
        <v>30</v>
      </c>
    </row>
    <row r="19" spans="1:11" ht="30" x14ac:dyDescent="0.25">
      <c r="A19" s="28" t="s">
        <v>31</v>
      </c>
      <c r="B19" s="29" t="s">
        <v>117</v>
      </c>
      <c r="C19" s="30"/>
      <c r="D19" s="30"/>
      <c r="E19" s="30"/>
      <c r="F19" s="30">
        <v>235200</v>
      </c>
      <c r="G19" s="31" t="s">
        <v>103</v>
      </c>
      <c r="I19" s="6">
        <v>1966720.6896551726</v>
      </c>
    </row>
    <row r="20" spans="1:11" ht="30" x14ac:dyDescent="0.25">
      <c r="A20" s="28" t="s">
        <v>33</v>
      </c>
      <c r="B20" s="29" t="s">
        <v>111</v>
      </c>
      <c r="C20" s="30"/>
      <c r="D20" s="30"/>
      <c r="E20" s="30"/>
      <c r="F20" s="30">
        <v>9900</v>
      </c>
      <c r="G20" s="39" t="s">
        <v>34</v>
      </c>
      <c r="K20" s="7"/>
    </row>
    <row r="21" spans="1:11" ht="30" x14ac:dyDescent="0.25">
      <c r="A21" s="28" t="s">
        <v>35</v>
      </c>
      <c r="B21" s="29" t="s">
        <v>36</v>
      </c>
      <c r="C21" s="30"/>
      <c r="D21" s="30">
        <f t="shared" si="3"/>
        <v>0</v>
      </c>
      <c r="E21" s="30">
        <f t="shared" si="0"/>
        <v>0</v>
      </c>
      <c r="F21" s="30">
        <v>120000</v>
      </c>
      <c r="G21" s="40" t="s">
        <v>95</v>
      </c>
      <c r="I21" s="7">
        <f>SUM(I19:I19)</f>
        <v>1966720.6896551726</v>
      </c>
    </row>
    <row r="22" spans="1:11" ht="45" x14ac:dyDescent="0.25">
      <c r="A22" s="28" t="s">
        <v>110</v>
      </c>
      <c r="B22" s="29" t="s">
        <v>112</v>
      </c>
      <c r="C22" s="30"/>
      <c r="D22" s="30"/>
      <c r="E22" s="30"/>
      <c r="F22" s="30">
        <v>10500</v>
      </c>
      <c r="G22" s="40" t="s">
        <v>113</v>
      </c>
    </row>
    <row r="23" spans="1:11" ht="45" x14ac:dyDescent="0.25">
      <c r="A23" s="28" t="s">
        <v>114</v>
      </c>
      <c r="B23" s="29" t="s">
        <v>115</v>
      </c>
      <c r="C23" s="30"/>
      <c r="D23" s="30"/>
      <c r="E23" s="30"/>
      <c r="F23" s="30">
        <v>85000</v>
      </c>
      <c r="G23" s="40" t="s">
        <v>116</v>
      </c>
    </row>
    <row r="24" spans="1:11" s="46" customFormat="1" x14ac:dyDescent="0.25">
      <c r="A24" s="41"/>
      <c r="B24" s="42" t="s">
        <v>20</v>
      </c>
      <c r="C24" s="43"/>
      <c r="D24" s="43">
        <f t="shared" si="3"/>
        <v>0</v>
      </c>
      <c r="E24" s="44">
        <f>SUM(E14:E22)</f>
        <v>3299924.1960000005</v>
      </c>
      <c r="F24" s="44">
        <f>SUM(F15:F23)</f>
        <v>3298513</v>
      </c>
      <c r="G24" s="45"/>
      <c r="H24" s="27">
        <f>SUM(F24/$E$6)/12</f>
        <v>10.405548215811198</v>
      </c>
      <c r="I24" s="46">
        <f>SUM(I21/E6)/12</f>
        <v>6.204252329228459</v>
      </c>
      <c r="K24" s="47"/>
    </row>
    <row r="25" spans="1:11" s="46" customFormat="1" x14ac:dyDescent="0.25">
      <c r="A25" s="48"/>
      <c r="B25" s="49"/>
      <c r="C25" s="50"/>
      <c r="D25" s="50"/>
      <c r="E25" s="51"/>
      <c r="F25" s="51"/>
      <c r="G25" s="45"/>
      <c r="H25" s="27"/>
    </row>
    <row r="26" spans="1:11" s="56" customFormat="1" ht="45" x14ac:dyDescent="0.25">
      <c r="A26" s="52" t="s">
        <v>37</v>
      </c>
      <c r="B26" s="53" t="s">
        <v>38</v>
      </c>
      <c r="C26" s="54">
        <v>6.31</v>
      </c>
      <c r="D26" s="54">
        <f t="shared" ref="D26:D27" si="4">SUM(C26*E$6)</f>
        <v>166686.85299999997</v>
      </c>
      <c r="E26" s="44">
        <f t="shared" ref="E26:E27" si="5">SUM(D26*12)</f>
        <v>2000242.2359999996</v>
      </c>
      <c r="F26" s="44">
        <v>2000000</v>
      </c>
      <c r="G26" s="86" t="s">
        <v>106</v>
      </c>
      <c r="H26" s="55"/>
    </row>
    <row r="27" spans="1:11" s="46" customFormat="1" ht="30" x14ac:dyDescent="0.25">
      <c r="A27" s="57" t="s">
        <v>39</v>
      </c>
      <c r="B27" s="58" t="s">
        <v>40</v>
      </c>
      <c r="C27" s="59">
        <v>1.25</v>
      </c>
      <c r="D27" s="25">
        <f t="shared" si="4"/>
        <v>33020.375</v>
      </c>
      <c r="E27" s="44">
        <f t="shared" si="5"/>
        <v>396244.5</v>
      </c>
      <c r="F27" s="44"/>
      <c r="G27" s="60" t="s">
        <v>41</v>
      </c>
      <c r="H27" s="27"/>
    </row>
    <row r="28" spans="1:11" s="56" customFormat="1" ht="30" x14ac:dyDescent="0.25">
      <c r="A28" s="61" t="s">
        <v>42</v>
      </c>
      <c r="B28" s="62" t="s">
        <v>43</v>
      </c>
      <c r="C28" s="63">
        <v>8.81</v>
      </c>
      <c r="D28" s="63">
        <f t="shared" si="3"/>
        <v>232727.603</v>
      </c>
      <c r="E28" s="64">
        <f t="shared" si="0"/>
        <v>2792731.236</v>
      </c>
      <c r="F28" s="63"/>
      <c r="G28" s="65"/>
      <c r="H28" s="55"/>
    </row>
    <row r="29" spans="1:11" x14ac:dyDescent="0.25">
      <c r="A29" s="28" t="s">
        <v>44</v>
      </c>
      <c r="B29" s="29" t="s">
        <v>45</v>
      </c>
      <c r="C29" s="30"/>
      <c r="D29" s="30">
        <f t="shared" si="3"/>
        <v>0</v>
      </c>
      <c r="E29" s="30">
        <f t="shared" si="0"/>
        <v>0</v>
      </c>
      <c r="F29" s="30">
        <v>2486495</v>
      </c>
      <c r="G29" s="31" t="s">
        <v>46</v>
      </c>
    </row>
    <row r="30" spans="1:11" ht="30" x14ac:dyDescent="0.25">
      <c r="A30" s="28" t="s">
        <v>47</v>
      </c>
      <c r="B30" s="29" t="s">
        <v>48</v>
      </c>
      <c r="C30" s="30"/>
      <c r="D30" s="30"/>
      <c r="E30" s="30"/>
      <c r="F30" s="30">
        <v>120682</v>
      </c>
      <c r="G30" s="31" t="s">
        <v>120</v>
      </c>
    </row>
    <row r="31" spans="1:11" ht="30" x14ac:dyDescent="0.25">
      <c r="A31" s="28" t="s">
        <v>49</v>
      </c>
      <c r="B31" s="29" t="s">
        <v>50</v>
      </c>
      <c r="C31" s="30"/>
      <c r="D31" s="30"/>
      <c r="E31" s="30"/>
      <c r="F31" s="30">
        <v>38700</v>
      </c>
      <c r="G31" s="31" t="s">
        <v>51</v>
      </c>
    </row>
    <row r="32" spans="1:11" x14ac:dyDescent="0.25">
      <c r="A32" s="28" t="s">
        <v>52</v>
      </c>
      <c r="B32" s="29" t="s">
        <v>53</v>
      </c>
      <c r="C32" s="30"/>
      <c r="D32" s="30">
        <f t="shared" si="3"/>
        <v>0</v>
      </c>
      <c r="E32" s="30">
        <f t="shared" si="0"/>
        <v>0</v>
      </c>
      <c r="F32" s="30">
        <v>60798</v>
      </c>
      <c r="G32" s="31" t="s">
        <v>96</v>
      </c>
    </row>
    <row r="33" spans="1:8" x14ac:dyDescent="0.25">
      <c r="A33" s="28" t="s">
        <v>54</v>
      </c>
      <c r="B33" s="29" t="s">
        <v>121</v>
      </c>
      <c r="C33" s="30"/>
      <c r="D33" s="30"/>
      <c r="E33" s="30"/>
      <c r="F33" s="30">
        <v>65440</v>
      </c>
      <c r="G33" s="66" t="s">
        <v>97</v>
      </c>
    </row>
    <row r="34" spans="1:8" ht="45" x14ac:dyDescent="0.25">
      <c r="A34" s="28" t="s">
        <v>54</v>
      </c>
      <c r="C34" s="30"/>
      <c r="D34" s="30"/>
      <c r="E34" s="30"/>
      <c r="F34" s="30">
        <v>20000</v>
      </c>
      <c r="G34" s="29" t="s">
        <v>55</v>
      </c>
    </row>
    <row r="35" spans="1:8" s="69" customFormat="1" x14ac:dyDescent="0.25">
      <c r="A35" s="41"/>
      <c r="B35" s="42" t="s">
        <v>20</v>
      </c>
      <c r="C35" s="67"/>
      <c r="D35" s="67"/>
      <c r="E35" s="44">
        <f>SUM(E28:E32)</f>
        <v>2792731.236</v>
      </c>
      <c r="F35" s="44">
        <f>SUM(F29:F34)</f>
        <v>2792115</v>
      </c>
      <c r="G35" s="68"/>
      <c r="H35" s="27">
        <f>SUM(F35/$E$6)/12</f>
        <v>8.8080560108720753</v>
      </c>
    </row>
    <row r="36" spans="1:8" s="69" customFormat="1" x14ac:dyDescent="0.25">
      <c r="A36" s="48"/>
      <c r="B36" s="49"/>
      <c r="C36" s="51"/>
      <c r="D36" s="51"/>
      <c r="E36" s="51"/>
      <c r="F36" s="51"/>
      <c r="G36" s="70"/>
      <c r="H36" s="71"/>
    </row>
    <row r="37" spans="1:8" s="74" customFormat="1" x14ac:dyDescent="0.25">
      <c r="A37" s="57" t="s">
        <v>56</v>
      </c>
      <c r="B37" s="58" t="s">
        <v>57</v>
      </c>
      <c r="C37" s="64"/>
      <c r="D37" s="64"/>
      <c r="E37" s="64"/>
      <c r="F37" s="64"/>
      <c r="G37" s="72"/>
      <c r="H37" s="73"/>
    </row>
    <row r="38" spans="1:8" x14ac:dyDescent="0.25">
      <c r="A38" s="28" t="s">
        <v>58</v>
      </c>
      <c r="B38" s="29" t="s">
        <v>59</v>
      </c>
      <c r="C38" s="30">
        <v>2.21</v>
      </c>
      <c r="D38" s="30">
        <f>SUM(C38*10665.7)</f>
        <v>23571.197</v>
      </c>
      <c r="E38" s="30">
        <f t="shared" si="0"/>
        <v>282854.364</v>
      </c>
      <c r="F38" s="30">
        <v>206279</v>
      </c>
      <c r="G38" s="91" t="s">
        <v>60</v>
      </c>
    </row>
    <row r="39" spans="1:8" x14ac:dyDescent="0.25">
      <c r="A39" s="28" t="s">
        <v>61</v>
      </c>
      <c r="B39" s="29" t="s">
        <v>62</v>
      </c>
      <c r="C39" s="30">
        <v>2.27</v>
      </c>
      <c r="D39" s="30">
        <f>SUM(C39*4883.4)</f>
        <v>11085.317999999999</v>
      </c>
      <c r="E39" s="30">
        <f t="shared" ref="E39" si="6">SUM(D39*12)</f>
        <v>133023.81599999999</v>
      </c>
      <c r="F39" s="30">
        <v>92176</v>
      </c>
      <c r="G39" s="92"/>
    </row>
    <row r="40" spans="1:8" ht="43.5" customHeight="1" x14ac:dyDescent="0.25">
      <c r="A40" s="28" t="s">
        <v>63</v>
      </c>
      <c r="B40" s="29" t="s">
        <v>64</v>
      </c>
      <c r="C40" s="30">
        <v>2.0499999999999998</v>
      </c>
      <c r="D40" s="30">
        <f>SUM(C40*10814.7)</f>
        <v>22170.134999999998</v>
      </c>
      <c r="E40" s="30">
        <f t="shared" ref="E40" si="7">SUM(D40*12)</f>
        <v>266041.62</v>
      </c>
      <c r="F40" s="30">
        <v>184352</v>
      </c>
      <c r="G40" s="93"/>
    </row>
    <row r="41" spans="1:8" ht="30" x14ac:dyDescent="0.25">
      <c r="A41" s="28" t="s">
        <v>65</v>
      </c>
      <c r="B41" s="29" t="s">
        <v>66</v>
      </c>
      <c r="C41" s="30"/>
      <c r="D41" s="30">
        <f>SUM(C41*E$6)</f>
        <v>0</v>
      </c>
      <c r="E41" s="30">
        <f t="shared" si="0"/>
        <v>0</v>
      </c>
      <c r="F41" s="30">
        <v>6000</v>
      </c>
      <c r="G41" s="31" t="s">
        <v>67</v>
      </c>
    </row>
    <row r="42" spans="1:8" ht="30" x14ac:dyDescent="0.25">
      <c r="A42" s="28" t="s">
        <v>68</v>
      </c>
      <c r="B42" s="29" t="s">
        <v>69</v>
      </c>
      <c r="C42" s="30"/>
      <c r="D42" s="30">
        <f>SUM(C42*E$6)</f>
        <v>0</v>
      </c>
      <c r="E42" s="30">
        <f t="shared" si="0"/>
        <v>0</v>
      </c>
      <c r="F42" s="30">
        <v>182112</v>
      </c>
      <c r="G42" s="40" t="s">
        <v>98</v>
      </c>
    </row>
    <row r="43" spans="1:8" x14ac:dyDescent="0.25">
      <c r="A43" s="28"/>
      <c r="B43" s="29" t="s">
        <v>101</v>
      </c>
      <c r="C43" s="30"/>
      <c r="D43" s="30"/>
      <c r="E43" s="30"/>
      <c r="F43" s="30">
        <v>11000</v>
      </c>
      <c r="G43" s="31"/>
    </row>
    <row r="44" spans="1:8" s="46" customFormat="1" x14ac:dyDescent="0.25">
      <c r="A44" s="41"/>
      <c r="B44" s="42" t="s">
        <v>20</v>
      </c>
      <c r="C44" s="43"/>
      <c r="D44" s="43">
        <f>SUM(C44*E$6)</f>
        <v>0</v>
      </c>
      <c r="E44" s="44">
        <f>SUM(E38:E42)</f>
        <v>681919.8</v>
      </c>
      <c r="F44" s="44">
        <f>SUM(F38:F43)</f>
        <v>681919</v>
      </c>
      <c r="G44" s="75"/>
      <c r="H44" s="27"/>
    </row>
    <row r="45" spans="1:8" s="46" customFormat="1" x14ac:dyDescent="0.25">
      <c r="A45" s="48"/>
      <c r="B45" s="49"/>
      <c r="C45" s="50"/>
      <c r="D45" s="50"/>
      <c r="E45" s="51"/>
      <c r="F45" s="51"/>
      <c r="G45" s="75"/>
      <c r="H45" s="27"/>
    </row>
    <row r="46" spans="1:8" ht="31.5" x14ac:dyDescent="0.25">
      <c r="A46" s="28" t="s">
        <v>70</v>
      </c>
      <c r="B46" s="76" t="s">
        <v>71</v>
      </c>
      <c r="C46" s="30"/>
      <c r="D46" s="30">
        <f>SUM(C46*E$6)</f>
        <v>0</v>
      </c>
      <c r="E46" s="30">
        <f t="shared" si="0"/>
        <v>0</v>
      </c>
      <c r="F46" s="30"/>
      <c r="G46" s="26"/>
    </row>
    <row r="47" spans="1:8" x14ac:dyDescent="0.25">
      <c r="A47" s="28" t="s">
        <v>72</v>
      </c>
      <c r="B47" s="77" t="s">
        <v>73</v>
      </c>
      <c r="C47" s="30">
        <v>2.83</v>
      </c>
      <c r="D47" s="30">
        <f>SUM(C47*E$6)</f>
        <v>74758.129000000001</v>
      </c>
      <c r="E47" s="30">
        <f t="shared" si="0"/>
        <v>897097.54799999995</v>
      </c>
      <c r="F47" s="30">
        <v>897097</v>
      </c>
      <c r="G47" s="31" t="s">
        <v>74</v>
      </c>
    </row>
    <row r="48" spans="1:8" ht="31.5" x14ac:dyDescent="0.25">
      <c r="A48" s="28" t="s">
        <v>75</v>
      </c>
      <c r="B48" s="77" t="s">
        <v>76</v>
      </c>
      <c r="C48" s="30">
        <v>703</v>
      </c>
      <c r="D48" s="30">
        <f>SUM(C48*176)</f>
        <v>123728</v>
      </c>
      <c r="E48" s="30">
        <f t="shared" si="0"/>
        <v>1484736</v>
      </c>
      <c r="F48" s="30">
        <v>1484736</v>
      </c>
      <c r="G48" s="31" t="s">
        <v>74</v>
      </c>
    </row>
    <row r="49" spans="1:12" ht="31.5" x14ac:dyDescent="0.25">
      <c r="A49" s="28" t="s">
        <v>77</v>
      </c>
      <c r="B49" s="77" t="s">
        <v>78</v>
      </c>
      <c r="C49" s="30">
        <v>1145</v>
      </c>
      <c r="D49" s="30">
        <f>SUM(C49*45)</f>
        <v>51525</v>
      </c>
      <c r="E49" s="30">
        <f t="shared" si="0"/>
        <v>618300</v>
      </c>
      <c r="F49" s="30">
        <v>618300</v>
      </c>
      <c r="G49" s="31" t="s">
        <v>74</v>
      </c>
    </row>
    <row r="50" spans="1:12" ht="31.5" x14ac:dyDescent="0.25">
      <c r="A50" s="28" t="s">
        <v>79</v>
      </c>
      <c r="B50" s="77" t="s">
        <v>80</v>
      </c>
      <c r="C50" s="30">
        <v>173</v>
      </c>
      <c r="D50" s="30">
        <f>SUM(C50*171)</f>
        <v>29583</v>
      </c>
      <c r="E50" s="30">
        <f t="shared" si="0"/>
        <v>354996</v>
      </c>
      <c r="F50" s="30">
        <v>354996</v>
      </c>
      <c r="G50" s="31" t="s">
        <v>74</v>
      </c>
    </row>
    <row r="51" spans="1:12" x14ac:dyDescent="0.25">
      <c r="A51" s="28"/>
      <c r="B51" s="77"/>
      <c r="C51" s="30"/>
      <c r="D51" s="30"/>
      <c r="E51" s="30"/>
      <c r="F51" s="30"/>
      <c r="G51" s="31"/>
    </row>
    <row r="52" spans="1:12" s="46" customFormat="1" x14ac:dyDescent="0.25">
      <c r="A52" s="41"/>
      <c r="B52" s="42" t="s">
        <v>20</v>
      </c>
      <c r="C52" s="43"/>
      <c r="D52" s="43">
        <f t="shared" ref="D52" si="8">SUM(C52*E$6)</f>
        <v>0</v>
      </c>
      <c r="E52" s="44">
        <f>SUM(E47:E50)</f>
        <v>3355129.548</v>
      </c>
      <c r="F52" s="44">
        <f>SUM(F47:F51)</f>
        <v>3355129</v>
      </c>
      <c r="G52" s="75"/>
      <c r="H52" s="27"/>
    </row>
    <row r="53" spans="1:12" s="46" customFormat="1" x14ac:dyDescent="0.25">
      <c r="A53" s="48"/>
      <c r="B53" s="49"/>
      <c r="C53" s="50"/>
      <c r="D53" s="50"/>
      <c r="E53" s="51"/>
      <c r="F53" s="51"/>
      <c r="G53" s="75"/>
      <c r="H53" s="27"/>
    </row>
    <row r="54" spans="1:12" s="56" customFormat="1" ht="30" x14ac:dyDescent="0.25">
      <c r="A54" s="52" t="s">
        <v>81</v>
      </c>
      <c r="B54" s="53" t="s">
        <v>82</v>
      </c>
      <c r="C54" s="54">
        <v>1.49</v>
      </c>
      <c r="D54" s="54">
        <f>SUM(C54*E$6)</f>
        <v>39360.286999999997</v>
      </c>
      <c r="E54" s="44">
        <f t="shared" si="0"/>
        <v>472323.44399999996</v>
      </c>
      <c r="F54" s="44">
        <v>472000</v>
      </c>
      <c r="G54" s="85" t="s">
        <v>102</v>
      </c>
      <c r="H54" s="27">
        <f>SUM(F54/E6)/12</f>
        <v>1.4889796577618111</v>
      </c>
    </row>
    <row r="55" spans="1:12" s="56" customFormat="1" ht="30" x14ac:dyDescent="0.25">
      <c r="A55" s="52" t="s">
        <v>83</v>
      </c>
      <c r="B55" s="78" t="s">
        <v>84</v>
      </c>
      <c r="C55" s="54">
        <v>0.34</v>
      </c>
      <c r="D55" s="54">
        <f t="shared" ref="D55" si="9">SUM(C55*E$6)</f>
        <v>8981.5420000000013</v>
      </c>
      <c r="E55" s="44">
        <f t="shared" si="0"/>
        <v>107778.50400000002</v>
      </c>
      <c r="F55" s="44">
        <v>98784</v>
      </c>
      <c r="G55" s="85" t="s">
        <v>107</v>
      </c>
      <c r="H55" s="27">
        <f>SUM(F55/$E$6)/12</f>
        <v>0.31162577650920076</v>
      </c>
    </row>
    <row r="56" spans="1:12" s="56" customFormat="1" ht="45" x14ac:dyDescent="0.25">
      <c r="A56" s="52" t="s">
        <v>85</v>
      </c>
      <c r="B56" s="78" t="s">
        <v>86</v>
      </c>
      <c r="C56" s="54">
        <v>0.44</v>
      </c>
      <c r="D56" s="54">
        <f>SUM(C56*15698.1)</f>
        <v>6907.1639999999998</v>
      </c>
      <c r="E56" s="44">
        <f t="shared" si="0"/>
        <v>82885.967999999993</v>
      </c>
      <c r="F56" s="44">
        <v>74554</v>
      </c>
      <c r="G56" s="85" t="s">
        <v>108</v>
      </c>
      <c r="H56" s="55"/>
    </row>
    <row r="57" spans="1:12" s="56" customFormat="1" x14ac:dyDescent="0.25">
      <c r="A57" s="52"/>
      <c r="B57" s="53"/>
      <c r="C57" s="54"/>
      <c r="D57" s="54">
        <f>SUM(C57*392)</f>
        <v>0</v>
      </c>
      <c r="E57" s="44">
        <f t="shared" si="0"/>
        <v>0</v>
      </c>
      <c r="F57" s="44"/>
      <c r="G57" s="39"/>
      <c r="H57" s="55"/>
    </row>
    <row r="59" spans="1:12" ht="18.75" x14ac:dyDescent="0.3">
      <c r="B59" s="97" t="s">
        <v>105</v>
      </c>
      <c r="C59" s="98"/>
      <c r="D59" s="98"/>
      <c r="E59" s="79">
        <f>SUM(E57+E56+E55+E54+E52+E44+E35+E26+E24+E13+E10+E9+E27)</f>
        <v>17713400.627999999</v>
      </c>
      <c r="F59" s="79">
        <f>SUM(F57+F56+F55+F54+F52+F44+F35+F26+F24+F13+F10+F9)</f>
        <v>17301537</v>
      </c>
      <c r="G59" s="80"/>
      <c r="I59" s="81"/>
      <c r="L59" s="82"/>
    </row>
    <row r="60" spans="1:12" x14ac:dyDescent="0.25">
      <c r="B60" s="94" t="s">
        <v>87</v>
      </c>
      <c r="C60" s="95"/>
      <c r="D60" s="95"/>
      <c r="E60" s="95"/>
      <c r="F60" s="95"/>
      <c r="G60" s="95"/>
    </row>
    <row r="61" spans="1:12" x14ac:dyDescent="0.25">
      <c r="B61" s="95"/>
      <c r="C61" s="95"/>
      <c r="D61" s="95"/>
      <c r="E61" s="95"/>
      <c r="F61" s="95"/>
      <c r="G61" s="95"/>
    </row>
    <row r="62" spans="1:12" x14ac:dyDescent="0.25">
      <c r="B62" s="95"/>
      <c r="C62" s="95"/>
      <c r="D62" s="95"/>
      <c r="E62" s="95"/>
      <c r="F62" s="95"/>
      <c r="G62" s="95"/>
    </row>
    <row r="63" spans="1:12" x14ac:dyDescent="0.25">
      <c r="B63" s="95"/>
      <c r="C63" s="95"/>
      <c r="D63" s="95"/>
      <c r="E63" s="95"/>
      <c r="F63" s="95"/>
      <c r="G63" s="95"/>
    </row>
    <row r="64" spans="1:12" x14ac:dyDescent="0.25">
      <c r="B64" s="95"/>
      <c r="C64" s="95"/>
      <c r="D64" s="95"/>
      <c r="E64" s="95"/>
      <c r="F64" s="95"/>
      <c r="G64" s="95"/>
    </row>
    <row r="65" spans="1:8" ht="15" x14ac:dyDescent="0.25">
      <c r="A65" s="6"/>
      <c r="B65" s="95"/>
      <c r="C65" s="95"/>
      <c r="D65" s="95"/>
      <c r="E65" s="95"/>
      <c r="F65" s="95"/>
      <c r="G65" s="95"/>
      <c r="H65" s="6"/>
    </row>
    <row r="66" spans="1:8" ht="15" x14ac:dyDescent="0.25">
      <c r="A66" s="6"/>
      <c r="B66" s="95"/>
      <c r="C66" s="95"/>
      <c r="D66" s="95"/>
      <c r="E66" s="95"/>
      <c r="F66" s="95"/>
      <c r="G66" s="95"/>
      <c r="H66" s="6"/>
    </row>
    <row r="67" spans="1:8" ht="15" x14ac:dyDescent="0.25">
      <c r="A67" s="6"/>
      <c r="B67" s="95"/>
      <c r="C67" s="95"/>
      <c r="D67" s="95"/>
      <c r="E67" s="95"/>
      <c r="F67" s="95"/>
      <c r="G67" s="95"/>
      <c r="H67" s="6"/>
    </row>
    <row r="68" spans="1:8" ht="15" x14ac:dyDescent="0.25">
      <c r="A68" s="6"/>
      <c r="B68" s="95"/>
      <c r="C68" s="95"/>
      <c r="D68" s="95"/>
      <c r="E68" s="95"/>
      <c r="F68" s="95"/>
      <c r="G68" s="95"/>
      <c r="H68" s="6"/>
    </row>
    <row r="69" spans="1:8" ht="15" x14ac:dyDescent="0.25">
      <c r="A69" s="6"/>
      <c r="B69" s="95"/>
      <c r="C69" s="95"/>
      <c r="D69" s="95"/>
      <c r="E69" s="95"/>
      <c r="F69" s="95"/>
      <c r="G69" s="95"/>
      <c r="H69" s="6"/>
    </row>
    <row r="70" spans="1:8" ht="15" x14ac:dyDescent="0.25">
      <c r="A70" s="6"/>
      <c r="B70" s="95"/>
      <c r="C70" s="95"/>
      <c r="D70" s="95"/>
      <c r="E70" s="95"/>
      <c r="F70" s="95"/>
      <c r="G70" s="95"/>
      <c r="H70" s="6"/>
    </row>
  </sheetData>
  <mergeCells count="6">
    <mergeCell ref="B1:D1"/>
    <mergeCell ref="G38:G40"/>
    <mergeCell ref="B60:G70"/>
    <mergeCell ref="B2:F2"/>
    <mergeCell ref="B3:F3"/>
    <mergeCell ref="B59:D59"/>
  </mergeCells>
  <pageMargins left="0.25" right="0.25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cp:lastPrinted>2019-05-13T11:07:46Z</cp:lastPrinted>
  <dcterms:created xsi:type="dcterms:W3CDTF">2019-04-01T12:27:16Z</dcterms:created>
  <dcterms:modified xsi:type="dcterms:W3CDTF">2019-05-13T11:08:13Z</dcterms:modified>
</cp:coreProperties>
</file>